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Housing\Mixed-Income PILOT\Program Documents\"/>
    </mc:Choice>
  </mc:AlternateContent>
  <xr:revisionPtr revIDLastSave="0" documentId="13_ncr:1_{4D883B07-DA5F-4724-876D-96B214DB9319}" xr6:coauthVersionLast="47" xr6:coauthVersionMax="47" xr10:uidLastSave="{00000000-0000-0000-0000-000000000000}"/>
  <bookViews>
    <workbookView xWindow="-108" yWindow="-108" windowWidth="23256" windowHeight="12576" xr2:uid="{450317D3-5228-444D-AC7E-82E787C37342}"/>
  </bookViews>
  <sheets>
    <sheet name="Detail Tax Schedule"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4" l="1"/>
  <c r="F9" i="4"/>
  <c r="F27" i="4"/>
  <c r="F28" i="4" s="1"/>
  <c r="F21" i="4"/>
  <c r="F22" i="4" s="1"/>
  <c r="G9" i="4" l="1"/>
  <c r="H9" i="4" s="1"/>
  <c r="G21" i="4"/>
  <c r="G27" i="4"/>
  <c r="H27" i="4" l="1"/>
  <c r="G28" i="4"/>
  <c r="G29" i="4" s="1"/>
  <c r="H21" i="4"/>
  <c r="G22" i="4"/>
  <c r="G23" i="4" s="1"/>
  <c r="F10" i="4"/>
  <c r="F11" i="4" s="1"/>
  <c r="G10" i="4"/>
  <c r="G11" i="4" s="1"/>
  <c r="F23" i="4"/>
  <c r="F29" i="4"/>
  <c r="G15" i="4"/>
  <c r="F16" i="4"/>
  <c r="F17" i="4" s="1"/>
  <c r="I9" i="4"/>
  <c r="H10" i="4"/>
  <c r="I21" i="4" l="1"/>
  <c r="H22" i="4"/>
  <c r="I27" i="4"/>
  <c r="H28" i="4"/>
  <c r="H29" i="4" s="1"/>
  <c r="H15" i="4"/>
  <c r="G16" i="4"/>
  <c r="J9" i="4"/>
  <c r="I10" i="4"/>
  <c r="I11" i="4" s="1"/>
  <c r="H11" i="4"/>
  <c r="I28" i="4" l="1"/>
  <c r="I29" i="4" s="1"/>
  <c r="J27" i="4"/>
  <c r="H23" i="4"/>
  <c r="J21" i="4"/>
  <c r="I22" i="4"/>
  <c r="I15" i="4"/>
  <c r="H16" i="4"/>
  <c r="H17" i="4" s="1"/>
  <c r="G17" i="4"/>
  <c r="K9" i="4"/>
  <c r="J10" i="4"/>
  <c r="J11" i="4" s="1"/>
  <c r="I23" i="4" l="1"/>
  <c r="K21" i="4"/>
  <c r="J22" i="4"/>
  <c r="J23" i="4" s="1"/>
  <c r="J28" i="4"/>
  <c r="J29" i="4" s="1"/>
  <c r="K27" i="4"/>
  <c r="J15" i="4"/>
  <c r="I16" i="4"/>
  <c r="I17" i="4" s="1"/>
  <c r="L9" i="4"/>
  <c r="K10" i="4"/>
  <c r="K11" i="4" s="1"/>
  <c r="L21" i="4" l="1"/>
  <c r="K22" i="4"/>
  <c r="K23" i="4" s="1"/>
  <c r="K28" i="4"/>
  <c r="K29" i="4" s="1"/>
  <c r="L27" i="4"/>
  <c r="K15" i="4"/>
  <c r="J16" i="4"/>
  <c r="J17" i="4" s="1"/>
  <c r="M9" i="4"/>
  <c r="L10" i="4"/>
  <c r="L11" i="4" s="1"/>
  <c r="L28" i="4" l="1"/>
  <c r="L29" i="4" s="1"/>
  <c r="M27" i="4"/>
  <c r="M21" i="4"/>
  <c r="L22" i="4"/>
  <c r="L23" i="4" s="1"/>
  <c r="K16" i="4"/>
  <c r="K17" i="4" s="1"/>
  <c r="L15" i="4"/>
  <c r="N9" i="4"/>
  <c r="M10" i="4"/>
  <c r="M11" i="4" s="1"/>
  <c r="N21" i="4" l="1"/>
  <c r="M22" i="4"/>
  <c r="M23" i="4" s="1"/>
  <c r="M28" i="4"/>
  <c r="M29" i="4" s="1"/>
  <c r="N27" i="4"/>
  <c r="L16" i="4"/>
  <c r="L17" i="4" s="1"/>
  <c r="M15" i="4"/>
  <c r="O9" i="4"/>
  <c r="N10" i="4"/>
  <c r="N11" i="4" s="1"/>
  <c r="O21" i="4" l="1"/>
  <c r="N22" i="4"/>
  <c r="N23" i="4" s="1"/>
  <c r="N28" i="4"/>
  <c r="N29" i="4" s="1"/>
  <c r="O27" i="4"/>
  <c r="M16" i="4"/>
  <c r="M17" i="4" s="1"/>
  <c r="N15" i="4"/>
  <c r="P9" i="4"/>
  <c r="O10" i="4"/>
  <c r="O11" i="4" s="1"/>
  <c r="O28" i="4" l="1"/>
  <c r="O29" i="4" s="1"/>
  <c r="P27" i="4"/>
  <c r="P21" i="4"/>
  <c r="O22" i="4"/>
  <c r="O23" i="4" s="1"/>
  <c r="N16" i="4"/>
  <c r="N17" i="4" s="1"/>
  <c r="O15" i="4"/>
  <c r="Q9" i="4"/>
  <c r="P10" i="4"/>
  <c r="P11" i="4" s="1"/>
  <c r="P28" i="4" l="1"/>
  <c r="P29" i="4" s="1"/>
  <c r="Q27" i="4"/>
  <c r="Q21" i="4"/>
  <c r="P22" i="4"/>
  <c r="P23" i="4" s="1"/>
  <c r="O16" i="4"/>
  <c r="O17" i="4" s="1"/>
  <c r="P15" i="4"/>
  <c r="R9" i="4"/>
  <c r="Q10" i="4"/>
  <c r="Q11" i="4" s="1"/>
  <c r="R21" i="4" l="1"/>
  <c r="Q22" i="4"/>
  <c r="Q23" i="4" s="1"/>
  <c r="R27" i="4"/>
  <c r="Q28" i="4"/>
  <c r="Q29" i="4" s="1"/>
  <c r="Q15" i="4"/>
  <c r="P16" i="4"/>
  <c r="P17" i="4" s="1"/>
  <c r="S9" i="4"/>
  <c r="R10" i="4"/>
  <c r="R11" i="4" s="1"/>
  <c r="S27" i="4" l="1"/>
  <c r="R28" i="4"/>
  <c r="R29" i="4" s="1"/>
  <c r="S21" i="4"/>
  <c r="R22" i="4"/>
  <c r="R23" i="4" s="1"/>
  <c r="R15" i="4"/>
  <c r="Q16" i="4"/>
  <c r="Q17" i="4" s="1"/>
  <c r="T9" i="4"/>
  <c r="S10" i="4"/>
  <c r="S11" i="4" s="1"/>
  <c r="T27" i="4" l="1"/>
  <c r="T28" i="4" s="1"/>
  <c r="S28" i="4"/>
  <c r="S29" i="4" s="1"/>
  <c r="T21" i="4"/>
  <c r="S22" i="4"/>
  <c r="S23" i="4" s="1"/>
  <c r="R16" i="4"/>
  <c r="R17" i="4" s="1"/>
  <c r="S15" i="4"/>
  <c r="T10" i="4"/>
  <c r="U10" i="4" s="1"/>
  <c r="U9" i="4"/>
  <c r="T22" i="4" l="1"/>
  <c r="U21" i="4"/>
  <c r="U28" i="4"/>
  <c r="T29" i="4"/>
  <c r="U29" i="4" s="1"/>
  <c r="U27" i="4"/>
  <c r="S16" i="4"/>
  <c r="S17" i="4" s="1"/>
  <c r="T15" i="4"/>
  <c r="T11" i="4"/>
  <c r="U11" i="4" s="1"/>
  <c r="T23" i="4" l="1"/>
  <c r="U23" i="4" s="1"/>
  <c r="U22" i="4"/>
  <c r="T16" i="4"/>
  <c r="U16" i="4" s="1"/>
  <c r="U15" i="4"/>
  <c r="T17" i="4" l="1"/>
  <c r="U17" i="4" s="1"/>
</calcChain>
</file>

<file path=xl/sharedStrings.xml><?xml version="1.0" encoding="utf-8"?>
<sst xmlns="http://schemas.openxmlformats.org/spreadsheetml/2006/main" count="46" uniqueCount="35">
  <si>
    <t>Applicant</t>
  </si>
  <si>
    <t>Development Cost</t>
  </si>
  <si>
    <t>Base Tax Payment</t>
  </si>
  <si>
    <t>PILOT</t>
  </si>
  <si>
    <t>Year 1</t>
  </si>
  <si>
    <t>Year 2</t>
  </si>
  <si>
    <t>Year 3</t>
  </si>
  <si>
    <t>Year 4</t>
  </si>
  <si>
    <t>Year 5</t>
  </si>
  <si>
    <t>Year 6</t>
  </si>
  <si>
    <t>Year 7</t>
  </si>
  <si>
    <t>Year 8</t>
  </si>
  <si>
    <t>Year 9</t>
  </si>
  <si>
    <t>Year 10</t>
  </si>
  <si>
    <t>Year 11</t>
  </si>
  <si>
    <t>Year 12</t>
  </si>
  <si>
    <t>Year 13</t>
  </si>
  <si>
    <t>Year 14</t>
  </si>
  <si>
    <t>Year 15</t>
  </si>
  <si>
    <t xml:space="preserve">Total </t>
  </si>
  <si>
    <t>Assumption / Escalation</t>
  </si>
  <si>
    <t>Deduction</t>
  </si>
  <si>
    <t>80%, 60% Yr. 11-15</t>
  </si>
  <si>
    <t>market (less) deduction</t>
  </si>
  <si>
    <t>70%, 50% Yr. 11-15</t>
  </si>
  <si>
    <t>Market Taxes Estimate</t>
  </si>
  <si>
    <t>PILOT Payment</t>
  </si>
  <si>
    <t>Tier 1 UZO</t>
  </si>
  <si>
    <t>Tier 1 Non UZO</t>
  </si>
  <si>
    <t>Tier 2</t>
  </si>
  <si>
    <t>Tier 3</t>
  </si>
  <si>
    <t>60%, 40% Yr. 11-15</t>
  </si>
  <si>
    <t>65%, 45% Yr. 11-15</t>
  </si>
  <si>
    <t xml:space="preserve">This template exists to assist in calculation financial projections only. Any PILOT schedule would require formal approval from Housing Division staff and an affirmative vote by the Health and Educational Facilities Board to be considered binding. </t>
  </si>
  <si>
    <t xml:space="preserve">Instructions: select the tier at which you plan to apply. Enter your estimated development cost in column B. Enter the most recent tax year payment in column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</si>
</sst>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8"/>
      <name val="Calibri"/>
      <family val="2"/>
      <scheme val="minor"/>
    </font>
    <font>
      <b/>
      <u/>
      <sz val="11"/>
      <color theme="1"/>
      <name val="Calibri"/>
      <family val="2"/>
      <scheme val="minor"/>
    </font>
    <font>
      <b/>
      <i/>
      <sz val="14"/>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3" fillId="2" borderId="0" xfId="0" applyFont="1" applyFill="1" applyAlignment="1">
      <alignment horizontal="center" vertical="center"/>
    </xf>
    <xf numFmtId="0" fontId="3" fillId="2" borderId="0" xfId="0" applyFont="1" applyFill="1" applyAlignment="1">
      <alignment horizontal="center" vertical="center" wrapText="1"/>
    </xf>
    <xf numFmtId="164" fontId="3" fillId="2" borderId="0" xfId="1" applyNumberFormat="1" applyFont="1" applyFill="1" applyAlignment="1">
      <alignment horizontal="center" vertical="center" wrapText="1"/>
    </xf>
    <xf numFmtId="0" fontId="0" fillId="0" borderId="0" xfId="0" applyAlignment="1">
      <alignment horizontal="left" indent="2"/>
    </xf>
    <xf numFmtId="0" fontId="0" fillId="3" borderId="0" xfId="0" applyFill="1"/>
    <xf numFmtId="0" fontId="5" fillId="4" borderId="0" xfId="0" applyFont="1" applyFill="1"/>
    <xf numFmtId="0" fontId="0" fillId="4" borderId="0" xfId="0" applyFill="1"/>
    <xf numFmtId="164" fontId="0" fillId="4" borderId="0" xfId="1" applyNumberFormat="1" applyFont="1" applyFill="1"/>
    <xf numFmtId="9" fontId="0" fillId="4" borderId="0" xfId="0" applyNumberFormat="1" applyFill="1"/>
    <xf numFmtId="0" fontId="0" fillId="4" borderId="0" xfId="0" applyFill="1" applyAlignment="1">
      <alignment horizontal="left" indent="1"/>
    </xf>
    <xf numFmtId="165" fontId="0" fillId="4" borderId="0" xfId="0" applyNumberFormat="1" applyFill="1"/>
    <xf numFmtId="164" fontId="0" fillId="4" borderId="0" xfId="0" applyNumberFormat="1" applyFill="1"/>
    <xf numFmtId="0" fontId="0" fillId="4" borderId="0" xfId="0" applyFill="1" applyAlignment="1">
      <alignment horizontal="right"/>
    </xf>
    <xf numFmtId="164" fontId="2" fillId="4" borderId="0" xfId="0" applyNumberFormat="1" applyFont="1" applyFill="1"/>
    <xf numFmtId="165" fontId="2" fillId="4" borderId="0" xfId="0" applyNumberFormat="1" applyFont="1" applyFill="1"/>
    <xf numFmtId="0" fontId="2" fillId="4" borderId="0" xfId="0" applyFont="1" applyFill="1" applyAlignment="1">
      <alignment horizontal="right"/>
    </xf>
    <xf numFmtId="0" fontId="2" fillId="4" borderId="0" xfId="0" applyFont="1" applyFill="1" applyAlignment="1">
      <alignment horizontal="left" indent="1"/>
    </xf>
    <xf numFmtId="0" fontId="5" fillId="5" borderId="0" xfId="0" applyFont="1" applyFill="1"/>
    <xf numFmtId="0" fontId="0" fillId="5" borderId="0" xfId="0" applyFill="1"/>
    <xf numFmtId="164" fontId="0" fillId="5" borderId="0" xfId="1" applyNumberFormat="1" applyFont="1" applyFill="1"/>
    <xf numFmtId="166" fontId="0" fillId="5" borderId="0" xfId="0" applyNumberFormat="1" applyFill="1"/>
    <xf numFmtId="0" fontId="0" fillId="5" borderId="0" xfId="0" applyFill="1" applyAlignment="1">
      <alignment horizontal="left" indent="1"/>
    </xf>
    <xf numFmtId="165" fontId="0" fillId="5" borderId="0" xfId="0" applyNumberFormat="1" applyFill="1"/>
    <xf numFmtId="0" fontId="0" fillId="5" borderId="0" xfId="0" applyFill="1" applyAlignment="1">
      <alignment horizontal="right"/>
    </xf>
    <xf numFmtId="165" fontId="2" fillId="5" borderId="0" xfId="0" applyNumberFormat="1" applyFont="1" applyFill="1"/>
    <xf numFmtId="0" fontId="2" fillId="5" borderId="0" xfId="0" applyFont="1" applyFill="1" applyAlignment="1">
      <alignment horizontal="right"/>
    </xf>
    <xf numFmtId="0" fontId="2" fillId="5" borderId="0" xfId="0" applyFont="1" applyFill="1" applyAlignment="1">
      <alignment horizontal="left" indent="1"/>
    </xf>
    <xf numFmtId="0" fontId="5" fillId="6" borderId="0" xfId="0" applyFont="1" applyFill="1"/>
    <xf numFmtId="0" fontId="0" fillId="6" borderId="0" xfId="0" applyFill="1"/>
    <xf numFmtId="164" fontId="0" fillId="6" borderId="0" xfId="1" applyNumberFormat="1" applyFont="1" applyFill="1"/>
    <xf numFmtId="166" fontId="0" fillId="6" borderId="0" xfId="0" applyNumberFormat="1" applyFill="1"/>
    <xf numFmtId="0" fontId="0" fillId="6" borderId="0" xfId="0" applyFill="1" applyAlignment="1">
      <alignment horizontal="left" indent="1"/>
    </xf>
    <xf numFmtId="165" fontId="0" fillId="6" borderId="0" xfId="0" applyNumberFormat="1" applyFill="1"/>
    <xf numFmtId="0" fontId="0" fillId="6" borderId="0" xfId="0" applyFill="1" applyAlignment="1">
      <alignment horizontal="right"/>
    </xf>
    <xf numFmtId="165" fontId="2" fillId="6" borderId="0" xfId="0" applyNumberFormat="1" applyFont="1" applyFill="1"/>
    <xf numFmtId="0" fontId="2" fillId="6" borderId="0" xfId="0" applyFont="1" applyFill="1" applyAlignment="1">
      <alignment horizontal="right"/>
    </xf>
    <xf numFmtId="0" fontId="2" fillId="6" borderId="0" xfId="0" applyFont="1" applyFill="1" applyAlignment="1">
      <alignment horizontal="left" indent="1"/>
    </xf>
    <xf numFmtId="0" fontId="5" fillId="7" borderId="0" xfId="0" applyFont="1" applyFill="1"/>
    <xf numFmtId="165" fontId="0" fillId="7" borderId="0" xfId="0" applyNumberFormat="1" applyFill="1"/>
    <xf numFmtId="0" fontId="0" fillId="7" borderId="0" xfId="0" applyFill="1"/>
    <xf numFmtId="164" fontId="0" fillId="7" borderId="0" xfId="1" applyNumberFormat="1" applyFont="1" applyFill="1"/>
    <xf numFmtId="166" fontId="0" fillId="7" borderId="0" xfId="0" applyNumberFormat="1" applyFill="1"/>
    <xf numFmtId="0" fontId="0" fillId="7" borderId="0" xfId="0" applyFill="1" applyAlignment="1">
      <alignment horizontal="left" indent="1"/>
    </xf>
    <xf numFmtId="0" fontId="0" fillId="7" borderId="0" xfId="0" applyFill="1" applyAlignment="1">
      <alignment horizontal="right"/>
    </xf>
    <xf numFmtId="165" fontId="2" fillId="7" borderId="0" xfId="0" applyNumberFormat="1" applyFont="1" applyFill="1"/>
    <xf numFmtId="0" fontId="2" fillId="7" borderId="0" xfId="0" applyFont="1" applyFill="1" applyAlignment="1">
      <alignment horizontal="right"/>
    </xf>
    <xf numFmtId="0" fontId="2" fillId="7" borderId="0" xfId="0" applyFont="1" applyFill="1" applyAlignment="1">
      <alignment horizontal="left" indent="1"/>
    </xf>
    <xf numFmtId="0" fontId="7" fillId="0" borderId="0" xfId="0" applyFont="1"/>
    <xf numFmtId="0" fontId="0" fillId="0" borderId="0" xfId="0" applyFill="1"/>
    <xf numFmtId="0" fontId="6" fillId="0" borderId="0" xfId="0" applyFont="1" applyAlignment="1"/>
    <xf numFmtId="164" fontId="0" fillId="4" borderId="0" xfId="1" applyNumberFormat="1" applyFont="1" applyFill="1" applyBorder="1"/>
    <xf numFmtId="164" fontId="0" fillId="5" borderId="0" xfId="1" applyNumberFormat="1" applyFont="1" applyFill="1" applyBorder="1"/>
    <xf numFmtId="164" fontId="0" fillId="6" borderId="0" xfId="1" applyNumberFormat="1" applyFont="1" applyFill="1" applyBorder="1"/>
    <xf numFmtId="164" fontId="0" fillId="7" borderId="0" xfId="1"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51FEE-E6BB-4240-8BF2-DA4F248D5DB0}">
  <dimension ref="A4:U33"/>
  <sheetViews>
    <sheetView tabSelected="1" zoomScaleNormal="100" workbookViewId="0">
      <selection activeCell="F29" sqref="F29"/>
    </sheetView>
  </sheetViews>
  <sheetFormatPr defaultRowHeight="14.4" x14ac:dyDescent="0.3"/>
  <cols>
    <col min="1" max="1" width="25.33203125" customWidth="1"/>
    <col min="2" max="2" width="14.88671875" bestFit="1" customWidth="1"/>
    <col min="3" max="3" width="13.6640625" bestFit="1" customWidth="1"/>
    <col min="4" max="5" width="22.5546875" customWidth="1"/>
    <col min="6" max="7" width="12.6640625" bestFit="1" customWidth="1"/>
    <col min="8" max="8" width="12.88671875" bestFit="1" customWidth="1"/>
    <col min="9" max="20" width="13.109375" bestFit="1" customWidth="1"/>
    <col min="21" max="21" width="14.109375" bestFit="1" customWidth="1"/>
  </cols>
  <sheetData>
    <row r="4" spans="1:21" ht="46.5" customHeight="1" x14ac:dyDescent="0.3">
      <c r="A4" s="1" t="s">
        <v>0</v>
      </c>
      <c r="B4" s="3" t="s">
        <v>1</v>
      </c>
      <c r="C4" s="3" t="s">
        <v>2</v>
      </c>
      <c r="D4" s="3" t="s">
        <v>20</v>
      </c>
      <c r="E4" s="3"/>
      <c r="F4" s="3" t="s">
        <v>4</v>
      </c>
      <c r="G4" s="2" t="s">
        <v>5</v>
      </c>
      <c r="H4" s="3" t="s">
        <v>6</v>
      </c>
      <c r="I4" s="2" t="s">
        <v>7</v>
      </c>
      <c r="J4" s="3" t="s">
        <v>8</v>
      </c>
      <c r="K4" s="2" t="s">
        <v>9</v>
      </c>
      <c r="L4" s="3" t="s">
        <v>10</v>
      </c>
      <c r="M4" s="2" t="s">
        <v>11</v>
      </c>
      <c r="N4" s="3" t="s">
        <v>12</v>
      </c>
      <c r="O4" s="2" t="s">
        <v>13</v>
      </c>
      <c r="P4" s="3" t="s">
        <v>14</v>
      </c>
      <c r="Q4" s="2" t="s">
        <v>15</v>
      </c>
      <c r="R4" s="3" t="s">
        <v>16</v>
      </c>
      <c r="S4" s="2" t="s">
        <v>17</v>
      </c>
      <c r="T4" s="3" t="s">
        <v>18</v>
      </c>
      <c r="U4" s="2" t="s">
        <v>19</v>
      </c>
    </row>
    <row r="5" spans="1:21" s="50" customFormat="1" ht="18" x14ac:dyDescent="0.35">
      <c r="A5" s="50" t="s">
        <v>33</v>
      </c>
    </row>
    <row r="6" spans="1:21" s="48" customFormat="1" ht="18" x14ac:dyDescent="0.35">
      <c r="A6" s="48" t="s">
        <v>34</v>
      </c>
    </row>
    <row r="8" spans="1:21" s="49" customFormat="1" x14ac:dyDescent="0.3">
      <c r="A8" s="6" t="s">
        <v>27</v>
      </c>
      <c r="B8" s="7"/>
      <c r="C8" s="7"/>
      <c r="D8" s="7"/>
      <c r="E8" s="7"/>
      <c r="F8" s="7"/>
      <c r="G8" s="7"/>
      <c r="H8" s="7"/>
      <c r="I8" s="7"/>
      <c r="J8" s="7"/>
      <c r="K8" s="7"/>
      <c r="L8" s="7"/>
      <c r="M8" s="7"/>
      <c r="N8" s="7"/>
      <c r="O8" s="7"/>
      <c r="P8" s="7"/>
      <c r="Q8" s="7"/>
      <c r="R8" s="7"/>
      <c r="S8" s="7"/>
      <c r="T8" s="7"/>
      <c r="U8" s="7"/>
    </row>
    <row r="9" spans="1:21" s="49" customFormat="1" x14ac:dyDescent="0.3">
      <c r="A9" s="7"/>
      <c r="B9" s="51">
        <v>50000000</v>
      </c>
      <c r="C9" s="8">
        <v>20000</v>
      </c>
      <c r="D9" s="9">
        <v>3.5000000000000003E-2</v>
      </c>
      <c r="E9" s="10" t="s">
        <v>25</v>
      </c>
      <c r="F9" s="11">
        <f>(B9*0.4)*0.03254</f>
        <v>650800</v>
      </c>
      <c r="G9" s="11">
        <f>F9*(1+$D$9)</f>
        <v>673578</v>
      </c>
      <c r="H9" s="11">
        <f t="shared" ref="H9:T9" si="0">G9*(1+$D$9)</f>
        <v>697153.23</v>
      </c>
      <c r="I9" s="11">
        <f t="shared" si="0"/>
        <v>721553.59304999991</v>
      </c>
      <c r="J9" s="11">
        <f t="shared" si="0"/>
        <v>746807.96880674979</v>
      </c>
      <c r="K9" s="11">
        <f t="shared" si="0"/>
        <v>772946.24771498598</v>
      </c>
      <c r="L9" s="11">
        <f t="shared" si="0"/>
        <v>799999.36638501042</v>
      </c>
      <c r="M9" s="11">
        <f t="shared" si="0"/>
        <v>827999.34420848568</v>
      </c>
      <c r="N9" s="11">
        <f t="shared" si="0"/>
        <v>856979.32125578262</v>
      </c>
      <c r="O9" s="11">
        <f t="shared" si="0"/>
        <v>886973.59749973495</v>
      </c>
      <c r="P9" s="11">
        <f t="shared" si="0"/>
        <v>918017.67341222556</v>
      </c>
      <c r="Q9" s="11">
        <f t="shared" si="0"/>
        <v>950148.29198165343</v>
      </c>
      <c r="R9" s="11">
        <f t="shared" si="0"/>
        <v>983403.48220101127</v>
      </c>
      <c r="S9" s="11">
        <f t="shared" si="0"/>
        <v>1017822.6040780466</v>
      </c>
      <c r="T9" s="11">
        <f t="shared" si="0"/>
        <v>1053446.3952207782</v>
      </c>
      <c r="U9" s="11">
        <f>SUM(F9:T9)</f>
        <v>12557629.115814466</v>
      </c>
    </row>
    <row r="10" spans="1:21" s="49" customFormat="1" x14ac:dyDescent="0.3">
      <c r="A10" s="7"/>
      <c r="B10" s="12"/>
      <c r="C10" s="11"/>
      <c r="D10" s="13" t="s">
        <v>22</v>
      </c>
      <c r="E10" s="10" t="s">
        <v>21</v>
      </c>
      <c r="F10" s="11">
        <f>(F9-$C$9)*0.8</f>
        <v>504640</v>
      </c>
      <c r="G10" s="11">
        <f t="shared" ref="G10:O10" si="1">(G9-$C$9)*0.8</f>
        <v>522862.4</v>
      </c>
      <c r="H10" s="11">
        <f t="shared" si="1"/>
        <v>541722.58400000003</v>
      </c>
      <c r="I10" s="11">
        <f t="shared" si="1"/>
        <v>561242.87443999993</v>
      </c>
      <c r="J10" s="11">
        <f t="shared" si="1"/>
        <v>581446.37504539988</v>
      </c>
      <c r="K10" s="11">
        <f t="shared" si="1"/>
        <v>602356.99817198876</v>
      </c>
      <c r="L10" s="11">
        <f t="shared" si="1"/>
        <v>623999.49310800841</v>
      </c>
      <c r="M10" s="11">
        <f t="shared" si="1"/>
        <v>646399.47536678857</v>
      </c>
      <c r="N10" s="11">
        <f t="shared" si="1"/>
        <v>669583.45700462617</v>
      </c>
      <c r="O10" s="11">
        <f t="shared" si="1"/>
        <v>693578.87799978803</v>
      </c>
      <c r="P10" s="11">
        <f>(P9-$C$9)*0.6</f>
        <v>538810.60404733534</v>
      </c>
      <c r="Q10" s="11">
        <f>(Q9-$C$9)*0.6</f>
        <v>558088.97518899199</v>
      </c>
      <c r="R10" s="11">
        <f>(R9-$C$9)*0.6</f>
        <v>578042.08932060678</v>
      </c>
      <c r="S10" s="11">
        <f>(S9-$C$9)*0.6</f>
        <v>598693.562446828</v>
      </c>
      <c r="T10" s="11">
        <f>(T9-$C$9)*0.6</f>
        <v>620067.83713246684</v>
      </c>
      <c r="U10" s="11">
        <f>SUM(F10:T10)</f>
        <v>8841535.6032728292</v>
      </c>
    </row>
    <row r="11" spans="1:21" s="49" customFormat="1" x14ac:dyDescent="0.3">
      <c r="A11" s="7"/>
      <c r="B11" s="14"/>
      <c r="C11" s="15"/>
      <c r="D11" s="16" t="s">
        <v>23</v>
      </c>
      <c r="E11" s="17" t="s">
        <v>26</v>
      </c>
      <c r="F11" s="15">
        <f>F9-F10</f>
        <v>146160</v>
      </c>
      <c r="G11" s="15">
        <f t="shared" ref="G11:T11" si="2">G9-G10</f>
        <v>150715.59999999998</v>
      </c>
      <c r="H11" s="15">
        <f t="shared" si="2"/>
        <v>155430.64599999995</v>
      </c>
      <c r="I11" s="15">
        <f t="shared" si="2"/>
        <v>160310.71860999998</v>
      </c>
      <c r="J11" s="15">
        <f t="shared" si="2"/>
        <v>165361.59376134991</v>
      </c>
      <c r="K11" s="15">
        <f t="shared" si="2"/>
        <v>170589.24954299722</v>
      </c>
      <c r="L11" s="15">
        <f t="shared" si="2"/>
        <v>175999.87327700201</v>
      </c>
      <c r="M11" s="15">
        <f t="shared" si="2"/>
        <v>181599.86884169711</v>
      </c>
      <c r="N11" s="15">
        <f t="shared" si="2"/>
        <v>187395.86425115645</v>
      </c>
      <c r="O11" s="15">
        <f t="shared" si="2"/>
        <v>193394.71949994692</v>
      </c>
      <c r="P11" s="15">
        <f t="shared" si="2"/>
        <v>379207.06936489022</v>
      </c>
      <c r="Q11" s="15">
        <f t="shared" si="2"/>
        <v>392059.31679266144</v>
      </c>
      <c r="R11" s="15">
        <f t="shared" si="2"/>
        <v>405361.39288040448</v>
      </c>
      <c r="S11" s="15">
        <f t="shared" si="2"/>
        <v>419129.04163121863</v>
      </c>
      <c r="T11" s="15">
        <f t="shared" si="2"/>
        <v>433378.55808831134</v>
      </c>
      <c r="U11" s="15">
        <f>SUM(F11:T11)</f>
        <v>3716093.5125416354</v>
      </c>
    </row>
    <row r="12" spans="1:21" s="49" customFormat="1" x14ac:dyDescent="0.3">
      <c r="A12" s="4"/>
      <c r="B12"/>
      <c r="C12"/>
      <c r="D12"/>
      <c r="E12"/>
      <c r="F12"/>
      <c r="G12"/>
      <c r="H12"/>
      <c r="I12"/>
      <c r="J12"/>
      <c r="K12"/>
      <c r="L12"/>
      <c r="M12"/>
      <c r="N12"/>
      <c r="O12"/>
      <c r="P12"/>
      <c r="Q12"/>
      <c r="R12"/>
      <c r="S12"/>
      <c r="T12"/>
      <c r="U12"/>
    </row>
    <row r="13" spans="1:21" s="49" customFormat="1" x14ac:dyDescent="0.3">
      <c r="A13"/>
      <c r="B13"/>
      <c r="C13"/>
      <c r="D13"/>
      <c r="E13"/>
      <c r="F13"/>
      <c r="G13"/>
      <c r="H13"/>
      <c r="I13"/>
      <c r="J13"/>
      <c r="K13"/>
      <c r="L13"/>
      <c r="M13"/>
      <c r="N13"/>
      <c r="O13"/>
      <c r="P13"/>
      <c r="Q13"/>
      <c r="R13"/>
      <c r="S13"/>
      <c r="T13"/>
      <c r="U13"/>
    </row>
    <row r="14" spans="1:21" s="49" customFormat="1" x14ac:dyDescent="0.3">
      <c r="A14" s="18" t="s">
        <v>28</v>
      </c>
      <c r="B14" s="19"/>
      <c r="C14" s="19"/>
      <c r="D14" s="19"/>
      <c r="E14" s="19"/>
      <c r="F14" s="19"/>
      <c r="G14" s="19"/>
      <c r="H14" s="19"/>
      <c r="I14" s="19"/>
      <c r="J14" s="19"/>
      <c r="K14" s="19"/>
      <c r="L14" s="19"/>
      <c r="M14" s="19"/>
      <c r="N14" s="19"/>
      <c r="O14" s="19"/>
      <c r="P14" s="19"/>
      <c r="Q14" s="19"/>
      <c r="R14" s="19"/>
      <c r="S14" s="19"/>
      <c r="T14" s="19"/>
      <c r="U14" s="19"/>
    </row>
    <row r="15" spans="1:21" s="49" customFormat="1" x14ac:dyDescent="0.3">
      <c r="A15" s="19"/>
      <c r="B15" s="52">
        <v>50000000</v>
      </c>
      <c r="C15" s="20">
        <v>20000</v>
      </c>
      <c r="D15" s="21">
        <v>3.5000000000000003E-2</v>
      </c>
      <c r="E15" s="22" t="s">
        <v>25</v>
      </c>
      <c r="F15" s="23">
        <f>(B15*0.4)*0.03254</f>
        <v>650800</v>
      </c>
      <c r="G15" s="23">
        <f>F15*(1+$D$15)</f>
        <v>673578</v>
      </c>
      <c r="H15" s="23">
        <f t="shared" ref="H15:T15" si="3">G15*(1+$D$15)</f>
        <v>697153.23</v>
      </c>
      <c r="I15" s="23">
        <f t="shared" si="3"/>
        <v>721553.59304999991</v>
      </c>
      <c r="J15" s="23">
        <f t="shared" si="3"/>
        <v>746807.96880674979</v>
      </c>
      <c r="K15" s="23">
        <f t="shared" si="3"/>
        <v>772946.24771498598</v>
      </c>
      <c r="L15" s="23">
        <f t="shared" si="3"/>
        <v>799999.36638501042</v>
      </c>
      <c r="M15" s="23">
        <f t="shared" si="3"/>
        <v>827999.34420848568</v>
      </c>
      <c r="N15" s="23">
        <f t="shared" si="3"/>
        <v>856979.32125578262</v>
      </c>
      <c r="O15" s="23">
        <f t="shared" si="3"/>
        <v>886973.59749973495</v>
      </c>
      <c r="P15" s="23">
        <f t="shared" si="3"/>
        <v>918017.67341222556</v>
      </c>
      <c r="Q15" s="23">
        <f t="shared" si="3"/>
        <v>950148.29198165343</v>
      </c>
      <c r="R15" s="23">
        <f t="shared" si="3"/>
        <v>983403.48220101127</v>
      </c>
      <c r="S15" s="23">
        <f t="shared" si="3"/>
        <v>1017822.6040780466</v>
      </c>
      <c r="T15" s="23">
        <f t="shared" si="3"/>
        <v>1053446.3952207782</v>
      </c>
      <c r="U15" s="23">
        <f>SUM(F15:T15)</f>
        <v>12557629.115814466</v>
      </c>
    </row>
    <row r="16" spans="1:21" s="49" customFormat="1" x14ac:dyDescent="0.3">
      <c r="A16" s="19"/>
      <c r="B16" s="23"/>
      <c r="C16" s="23"/>
      <c r="D16" s="24" t="s">
        <v>24</v>
      </c>
      <c r="E16" s="22" t="s">
        <v>21</v>
      </c>
      <c r="F16" s="23">
        <f>(F15-$C$15)*0.7</f>
        <v>441560</v>
      </c>
      <c r="G16" s="23">
        <f t="shared" ref="G16:O16" si="4">(G15-$C$15)*0.7</f>
        <v>457504.6</v>
      </c>
      <c r="H16" s="23">
        <f t="shared" si="4"/>
        <v>474007.26099999994</v>
      </c>
      <c r="I16" s="23">
        <f t="shared" si="4"/>
        <v>491087.51513499988</v>
      </c>
      <c r="J16" s="23">
        <f t="shared" si="4"/>
        <v>508765.57816472481</v>
      </c>
      <c r="K16" s="23">
        <f t="shared" si="4"/>
        <v>527062.37340049015</v>
      </c>
      <c r="L16" s="23">
        <f t="shared" si="4"/>
        <v>545999.55646950728</v>
      </c>
      <c r="M16" s="23">
        <f t="shared" si="4"/>
        <v>565599.54094593995</v>
      </c>
      <c r="N16" s="23">
        <f t="shared" si="4"/>
        <v>585885.52487904776</v>
      </c>
      <c r="O16" s="23">
        <f t="shared" si="4"/>
        <v>606881.5182498144</v>
      </c>
      <c r="P16" s="23">
        <f>(P15-$C$15)*0.5</f>
        <v>449008.83670611278</v>
      </c>
      <c r="Q16" s="23">
        <f t="shared" ref="Q16:T16" si="5">(Q15-$C$15)*0.5</f>
        <v>465074.14599082671</v>
      </c>
      <c r="R16" s="23">
        <f t="shared" si="5"/>
        <v>481701.74110050563</v>
      </c>
      <c r="S16" s="23">
        <f t="shared" si="5"/>
        <v>498911.30203902331</v>
      </c>
      <c r="T16" s="23">
        <f t="shared" si="5"/>
        <v>516723.19761038909</v>
      </c>
      <c r="U16" s="23">
        <f>SUM(F16:T16)</f>
        <v>7615772.6916913828</v>
      </c>
    </row>
    <row r="17" spans="1:21" s="49" customFormat="1" x14ac:dyDescent="0.3">
      <c r="A17" s="19"/>
      <c r="B17" s="25"/>
      <c r="C17" s="25"/>
      <c r="D17" s="26" t="s">
        <v>23</v>
      </c>
      <c r="E17" s="27" t="s">
        <v>26</v>
      </c>
      <c r="F17" s="25">
        <f>F15-F16</f>
        <v>209240</v>
      </c>
      <c r="G17" s="25">
        <f t="shared" ref="G17:T17" si="6">G15-G16</f>
        <v>216073.40000000002</v>
      </c>
      <c r="H17" s="25">
        <f t="shared" si="6"/>
        <v>223145.96900000004</v>
      </c>
      <c r="I17" s="25">
        <f t="shared" si="6"/>
        <v>230466.07791500003</v>
      </c>
      <c r="J17" s="25">
        <f t="shared" si="6"/>
        <v>238042.39064202498</v>
      </c>
      <c r="K17" s="25">
        <f t="shared" si="6"/>
        <v>245883.87431449583</v>
      </c>
      <c r="L17" s="25">
        <f t="shared" si="6"/>
        <v>253999.80991550314</v>
      </c>
      <c r="M17" s="25">
        <f t="shared" si="6"/>
        <v>262399.80326254573</v>
      </c>
      <c r="N17" s="25">
        <f t="shared" si="6"/>
        <v>271093.79637673486</v>
      </c>
      <c r="O17" s="25">
        <f t="shared" si="6"/>
        <v>280092.07924992056</v>
      </c>
      <c r="P17" s="25">
        <f t="shared" si="6"/>
        <v>469008.83670611278</v>
      </c>
      <c r="Q17" s="25">
        <f t="shared" si="6"/>
        <v>485074.14599082671</v>
      </c>
      <c r="R17" s="25">
        <f t="shared" si="6"/>
        <v>501701.74110050563</v>
      </c>
      <c r="S17" s="25">
        <f t="shared" si="6"/>
        <v>518911.30203902331</v>
      </c>
      <c r="T17" s="25">
        <f t="shared" si="6"/>
        <v>536723.19761038909</v>
      </c>
      <c r="U17" s="25">
        <f>SUM(F17:T17)</f>
        <v>4941856.4241230823</v>
      </c>
    </row>
    <row r="18" spans="1:21" s="49" customFormat="1" x14ac:dyDescent="0.3">
      <c r="A18" s="4"/>
      <c r="B18"/>
      <c r="C18"/>
      <c r="D18"/>
      <c r="E18"/>
      <c r="F18"/>
      <c r="G18"/>
      <c r="H18"/>
      <c r="I18"/>
      <c r="J18"/>
      <c r="K18"/>
      <c r="L18"/>
      <c r="M18"/>
      <c r="N18"/>
      <c r="O18"/>
      <c r="P18"/>
      <c r="Q18"/>
      <c r="R18"/>
      <c r="S18"/>
      <c r="T18"/>
      <c r="U18"/>
    </row>
    <row r="19" spans="1:21" s="49" customFormat="1" x14ac:dyDescent="0.3">
      <c r="A19"/>
      <c r="B19"/>
      <c r="C19"/>
      <c r="D19"/>
      <c r="E19"/>
      <c r="F19"/>
      <c r="G19"/>
      <c r="H19"/>
      <c r="I19"/>
      <c r="J19"/>
      <c r="K19"/>
      <c r="L19"/>
      <c r="M19"/>
      <c r="N19"/>
      <c r="O19"/>
      <c r="P19"/>
      <c r="Q19"/>
      <c r="R19"/>
      <c r="S19"/>
      <c r="T19"/>
      <c r="U19"/>
    </row>
    <row r="20" spans="1:21" s="49" customFormat="1" x14ac:dyDescent="0.3">
      <c r="A20" s="28" t="s">
        <v>29</v>
      </c>
      <c r="B20" s="29"/>
      <c r="C20" s="29"/>
      <c r="D20" s="29"/>
      <c r="E20" s="29"/>
      <c r="F20" s="29"/>
      <c r="G20" s="29"/>
      <c r="H20" s="29"/>
      <c r="I20" s="29"/>
      <c r="J20" s="29"/>
      <c r="K20" s="29"/>
      <c r="L20" s="29"/>
      <c r="M20" s="29"/>
      <c r="N20" s="29"/>
      <c r="O20" s="29"/>
      <c r="P20" s="29"/>
      <c r="Q20" s="29"/>
      <c r="R20" s="29"/>
      <c r="S20" s="29"/>
      <c r="T20" s="29"/>
      <c r="U20" s="29"/>
    </row>
    <row r="21" spans="1:21" s="49" customFormat="1" x14ac:dyDescent="0.3">
      <c r="A21" s="29"/>
      <c r="B21" s="53">
        <v>50000000</v>
      </c>
      <c r="C21" s="30">
        <v>20000</v>
      </c>
      <c r="D21" s="31">
        <v>3.5000000000000003E-2</v>
      </c>
      <c r="E21" s="32" t="s">
        <v>25</v>
      </c>
      <c r="F21" s="33">
        <f>(B21*0.4)*0.03254</f>
        <v>650800</v>
      </c>
      <c r="G21" s="33">
        <f>F21*(1+$D$21)</f>
        <v>673578</v>
      </c>
      <c r="H21" s="33">
        <f t="shared" ref="H21:T21" si="7">G21*(1+$D$21)</f>
        <v>697153.23</v>
      </c>
      <c r="I21" s="33">
        <f t="shared" si="7"/>
        <v>721553.59304999991</v>
      </c>
      <c r="J21" s="33">
        <f t="shared" si="7"/>
        <v>746807.96880674979</v>
      </c>
      <c r="K21" s="33">
        <f t="shared" si="7"/>
        <v>772946.24771498598</v>
      </c>
      <c r="L21" s="33">
        <f t="shared" si="7"/>
        <v>799999.36638501042</v>
      </c>
      <c r="M21" s="33">
        <f t="shared" si="7"/>
        <v>827999.34420848568</v>
      </c>
      <c r="N21" s="33">
        <f t="shared" si="7"/>
        <v>856979.32125578262</v>
      </c>
      <c r="O21" s="33">
        <f t="shared" si="7"/>
        <v>886973.59749973495</v>
      </c>
      <c r="P21" s="33">
        <f t="shared" si="7"/>
        <v>918017.67341222556</v>
      </c>
      <c r="Q21" s="33">
        <f t="shared" si="7"/>
        <v>950148.29198165343</v>
      </c>
      <c r="R21" s="33">
        <f t="shared" si="7"/>
        <v>983403.48220101127</v>
      </c>
      <c r="S21" s="33">
        <f t="shared" si="7"/>
        <v>1017822.6040780466</v>
      </c>
      <c r="T21" s="33">
        <f t="shared" si="7"/>
        <v>1053446.3952207782</v>
      </c>
      <c r="U21" s="33">
        <f>SUM(F21:T21)</f>
        <v>12557629.115814466</v>
      </c>
    </row>
    <row r="22" spans="1:21" s="49" customFormat="1" x14ac:dyDescent="0.3">
      <c r="A22" s="29"/>
      <c r="B22" s="33"/>
      <c r="C22" s="33"/>
      <c r="D22" s="34" t="s">
        <v>32</v>
      </c>
      <c r="E22" s="32" t="s">
        <v>21</v>
      </c>
      <c r="F22" s="33">
        <f>(F21-$C$21)*0.65</f>
        <v>410020</v>
      </c>
      <c r="G22" s="33">
        <f t="shared" ref="G22:Q22" si="8">(G21-$C$21)*0.65</f>
        <v>424825.7</v>
      </c>
      <c r="H22" s="33">
        <f t="shared" si="8"/>
        <v>440149.59950000001</v>
      </c>
      <c r="I22" s="33">
        <f t="shared" si="8"/>
        <v>456009.83548249997</v>
      </c>
      <c r="J22" s="33">
        <f t="shared" si="8"/>
        <v>472425.17972438736</v>
      </c>
      <c r="K22" s="33">
        <f t="shared" si="8"/>
        <v>489415.0610147409</v>
      </c>
      <c r="L22" s="33">
        <f t="shared" si="8"/>
        <v>506999.58815025678</v>
      </c>
      <c r="M22" s="33">
        <f t="shared" si="8"/>
        <v>525199.5737355157</v>
      </c>
      <c r="N22" s="33">
        <f t="shared" si="8"/>
        <v>544036.55881625868</v>
      </c>
      <c r="O22" s="33">
        <f t="shared" si="8"/>
        <v>563532.83837482776</v>
      </c>
      <c r="P22" s="33">
        <f>(P21-$C$21)*0.45</f>
        <v>404107.95303550153</v>
      </c>
      <c r="Q22" s="33">
        <f t="shared" si="8"/>
        <v>604596.38978807477</v>
      </c>
      <c r="R22" s="33">
        <f t="shared" ref="R22:T22" si="9">(R21-$C$21)*0.5</f>
        <v>481701.74110050563</v>
      </c>
      <c r="S22" s="33">
        <f t="shared" si="9"/>
        <v>498911.30203902331</v>
      </c>
      <c r="T22" s="33">
        <f t="shared" si="9"/>
        <v>516723.19761038909</v>
      </c>
      <c r="U22" s="33">
        <f>SUM(F22:T22)</f>
        <v>7338654.5183719816</v>
      </c>
    </row>
    <row r="23" spans="1:21" s="49" customFormat="1" x14ac:dyDescent="0.3">
      <c r="A23" s="29"/>
      <c r="B23" s="35"/>
      <c r="C23" s="35"/>
      <c r="D23" s="36" t="s">
        <v>23</v>
      </c>
      <c r="E23" s="37" t="s">
        <v>3</v>
      </c>
      <c r="F23" s="35">
        <f>F21-F22</f>
        <v>240780</v>
      </c>
      <c r="G23" s="35">
        <f t="shared" ref="G23:T23" si="10">G21-G22</f>
        <v>248752.3</v>
      </c>
      <c r="H23" s="35">
        <f t="shared" si="10"/>
        <v>257003.63049999997</v>
      </c>
      <c r="I23" s="35">
        <f t="shared" si="10"/>
        <v>265543.75756749994</v>
      </c>
      <c r="J23" s="35">
        <f t="shared" si="10"/>
        <v>274382.78908236243</v>
      </c>
      <c r="K23" s="35">
        <f t="shared" si="10"/>
        <v>283531.18670024507</v>
      </c>
      <c r="L23" s="35">
        <f t="shared" si="10"/>
        <v>292999.77823475364</v>
      </c>
      <c r="M23" s="35">
        <f t="shared" si="10"/>
        <v>302799.77047296998</v>
      </c>
      <c r="N23" s="35">
        <f t="shared" si="10"/>
        <v>312942.76243952394</v>
      </c>
      <c r="O23" s="35">
        <f t="shared" si="10"/>
        <v>323440.7591249072</v>
      </c>
      <c r="P23" s="35">
        <f t="shared" si="10"/>
        <v>513909.72037672403</v>
      </c>
      <c r="Q23" s="35">
        <f t="shared" si="10"/>
        <v>345551.90219357866</v>
      </c>
      <c r="R23" s="35">
        <f t="shared" si="10"/>
        <v>501701.74110050563</v>
      </c>
      <c r="S23" s="35">
        <f t="shared" si="10"/>
        <v>518911.30203902331</v>
      </c>
      <c r="T23" s="35">
        <f t="shared" si="10"/>
        <v>536723.19761038909</v>
      </c>
      <c r="U23" s="35">
        <f>SUM(F23:T23)</f>
        <v>5218974.5974424826</v>
      </c>
    </row>
    <row r="24" spans="1:21" s="49" customFormat="1" x14ac:dyDescent="0.3">
      <c r="A24" s="4"/>
      <c r="B24"/>
      <c r="C24"/>
      <c r="D24"/>
      <c r="E24"/>
      <c r="F24"/>
      <c r="G24"/>
      <c r="H24"/>
      <c r="I24"/>
      <c r="J24"/>
      <c r="K24"/>
      <c r="L24"/>
      <c r="M24"/>
      <c r="N24"/>
      <c r="O24"/>
      <c r="P24"/>
      <c r="Q24"/>
      <c r="R24"/>
      <c r="S24"/>
      <c r="T24"/>
      <c r="U24"/>
    </row>
    <row r="25" spans="1:21" s="49" customFormat="1" x14ac:dyDescent="0.3">
      <c r="A25"/>
      <c r="B25"/>
      <c r="C25"/>
      <c r="D25"/>
      <c r="E25"/>
      <c r="F25"/>
      <c r="G25"/>
      <c r="H25"/>
      <c r="I25"/>
      <c r="J25"/>
      <c r="K25"/>
      <c r="L25"/>
      <c r="M25"/>
      <c r="N25"/>
      <c r="O25"/>
      <c r="P25"/>
      <c r="Q25"/>
      <c r="R25"/>
      <c r="S25"/>
      <c r="T25"/>
      <c r="U25"/>
    </row>
    <row r="26" spans="1:21" s="49" customFormat="1" x14ac:dyDescent="0.3">
      <c r="A26" s="38" t="s">
        <v>30</v>
      </c>
      <c r="B26" s="39"/>
      <c r="C26" s="39"/>
      <c r="D26" s="40"/>
      <c r="E26" s="40"/>
      <c r="F26" s="40"/>
      <c r="G26" s="40"/>
      <c r="H26" s="40"/>
      <c r="I26" s="40"/>
      <c r="J26" s="40"/>
      <c r="K26" s="40"/>
      <c r="L26" s="40"/>
      <c r="M26" s="40"/>
      <c r="N26" s="40"/>
      <c r="O26" s="40"/>
      <c r="P26" s="40"/>
      <c r="Q26" s="40"/>
      <c r="R26" s="40"/>
      <c r="S26" s="40"/>
      <c r="T26" s="40"/>
      <c r="U26" s="40"/>
    </row>
    <row r="27" spans="1:21" s="49" customFormat="1" x14ac:dyDescent="0.3">
      <c r="A27" s="40"/>
      <c r="B27" s="54">
        <v>50000000</v>
      </c>
      <c r="C27" s="41">
        <v>20000</v>
      </c>
      <c r="D27" s="42">
        <v>3.5000000000000003E-2</v>
      </c>
      <c r="E27" s="43" t="s">
        <v>25</v>
      </c>
      <c r="F27" s="39">
        <f>(B27*0.4)*0.03254</f>
        <v>650800</v>
      </c>
      <c r="G27" s="39">
        <f>F27*(1+$D$27)</f>
        <v>673578</v>
      </c>
      <c r="H27" s="39">
        <f t="shared" ref="H27:T27" si="11">G27*(1+$D$27)</f>
        <v>697153.23</v>
      </c>
      <c r="I27" s="39">
        <f t="shared" si="11"/>
        <v>721553.59304999991</v>
      </c>
      <c r="J27" s="39">
        <f t="shared" si="11"/>
        <v>746807.96880674979</v>
      </c>
      <c r="K27" s="39">
        <f t="shared" si="11"/>
        <v>772946.24771498598</v>
      </c>
      <c r="L27" s="39">
        <f t="shared" si="11"/>
        <v>799999.36638501042</v>
      </c>
      <c r="M27" s="39">
        <f t="shared" si="11"/>
        <v>827999.34420848568</v>
      </c>
      <c r="N27" s="39">
        <f t="shared" si="11"/>
        <v>856979.32125578262</v>
      </c>
      <c r="O27" s="39">
        <f t="shared" si="11"/>
        <v>886973.59749973495</v>
      </c>
      <c r="P27" s="39">
        <f t="shared" si="11"/>
        <v>918017.67341222556</v>
      </c>
      <c r="Q27" s="39">
        <f t="shared" si="11"/>
        <v>950148.29198165343</v>
      </c>
      <c r="R27" s="39">
        <f t="shared" si="11"/>
        <v>983403.48220101127</v>
      </c>
      <c r="S27" s="39">
        <f t="shared" si="11"/>
        <v>1017822.6040780466</v>
      </c>
      <c r="T27" s="39">
        <f t="shared" si="11"/>
        <v>1053446.3952207782</v>
      </c>
      <c r="U27" s="39">
        <f>SUM(F27:T27)</f>
        <v>12557629.115814466</v>
      </c>
    </row>
    <row r="28" spans="1:21" s="49" customFormat="1" x14ac:dyDescent="0.3">
      <c r="A28" s="40"/>
      <c r="B28" s="39"/>
      <c r="C28" s="39"/>
      <c r="D28" s="44" t="s">
        <v>31</v>
      </c>
      <c r="E28" s="43" t="s">
        <v>21</v>
      </c>
      <c r="F28" s="39">
        <f>(F27-$C$27)*0.6</f>
        <v>378480</v>
      </c>
      <c r="G28" s="39">
        <f t="shared" ref="G28:O28" si="12">(G27-$C$27)*0.6</f>
        <v>392146.8</v>
      </c>
      <c r="H28" s="39">
        <f t="shared" si="12"/>
        <v>406291.93799999997</v>
      </c>
      <c r="I28" s="39">
        <f t="shared" si="12"/>
        <v>420932.15582999995</v>
      </c>
      <c r="J28" s="39">
        <f t="shared" si="12"/>
        <v>436084.78128404985</v>
      </c>
      <c r="K28" s="39">
        <f t="shared" si="12"/>
        <v>451767.7486289916</v>
      </c>
      <c r="L28" s="39">
        <f t="shared" si="12"/>
        <v>467999.61983100622</v>
      </c>
      <c r="M28" s="39">
        <f t="shared" si="12"/>
        <v>484799.6065250914</v>
      </c>
      <c r="N28" s="39">
        <f t="shared" si="12"/>
        <v>502187.59275346954</v>
      </c>
      <c r="O28" s="39">
        <f t="shared" si="12"/>
        <v>520184.15849984094</v>
      </c>
      <c r="P28" s="39">
        <f>(P27-$C$27)*0.4</f>
        <v>359207.06936489022</v>
      </c>
      <c r="Q28" s="39">
        <f>(Q27-$C$27)*0.5</f>
        <v>465074.14599082671</v>
      </c>
      <c r="R28" s="39">
        <f t="shared" ref="R28:T28" si="13">(R27-$C$27)*0.5</f>
        <v>481701.74110050563</v>
      </c>
      <c r="S28" s="39">
        <f t="shared" si="13"/>
        <v>498911.30203902331</v>
      </c>
      <c r="T28" s="39">
        <f t="shared" si="13"/>
        <v>516723.19761038909</v>
      </c>
      <c r="U28" s="39">
        <f>SUM(F28:T28)</f>
        <v>6782491.8574580858</v>
      </c>
    </row>
    <row r="29" spans="1:21" s="49" customFormat="1" x14ac:dyDescent="0.3">
      <c r="A29" s="40"/>
      <c r="B29" s="45"/>
      <c r="C29" s="45"/>
      <c r="D29" s="46" t="s">
        <v>23</v>
      </c>
      <c r="E29" s="47" t="s">
        <v>3</v>
      </c>
      <c r="F29" s="45">
        <f>F27-F28</f>
        <v>272320</v>
      </c>
      <c r="G29" s="45">
        <f t="shared" ref="G29:S29" si="14">G27-G28</f>
        <v>281431.2</v>
      </c>
      <c r="H29" s="45">
        <f t="shared" si="14"/>
        <v>290861.29200000002</v>
      </c>
      <c r="I29" s="45">
        <f t="shared" si="14"/>
        <v>300621.43721999996</v>
      </c>
      <c r="J29" s="45">
        <f t="shared" si="14"/>
        <v>310723.18752269994</v>
      </c>
      <c r="K29" s="45">
        <f t="shared" si="14"/>
        <v>321178.49908599438</v>
      </c>
      <c r="L29" s="45">
        <f t="shared" si="14"/>
        <v>331999.7465540042</v>
      </c>
      <c r="M29" s="45">
        <f t="shared" si="14"/>
        <v>343199.73768339428</v>
      </c>
      <c r="N29" s="45">
        <f t="shared" si="14"/>
        <v>354791.72850231308</v>
      </c>
      <c r="O29" s="45">
        <f t="shared" si="14"/>
        <v>366789.43899989402</v>
      </c>
      <c r="P29" s="45">
        <f t="shared" si="14"/>
        <v>558810.60404733534</v>
      </c>
      <c r="Q29" s="45">
        <f t="shared" si="14"/>
        <v>485074.14599082671</v>
      </c>
      <c r="R29" s="45">
        <f t="shared" si="14"/>
        <v>501701.74110050563</v>
      </c>
      <c r="S29" s="45">
        <f t="shared" si="14"/>
        <v>518911.30203902331</v>
      </c>
      <c r="T29" s="45">
        <f>T27-T28</f>
        <v>536723.19761038909</v>
      </c>
      <c r="U29" s="45">
        <f>SUM(F29:T29)</f>
        <v>5775137.2583563812</v>
      </c>
    </row>
    <row r="30" spans="1:21" x14ac:dyDescent="0.3">
      <c r="A30" s="4"/>
    </row>
    <row r="33" spans="1:21" x14ac:dyDescent="0.3">
      <c r="A33" s="5"/>
      <c r="B33" s="5"/>
      <c r="C33" s="5"/>
      <c r="D33" s="5"/>
      <c r="E33" s="5"/>
      <c r="F33" s="5"/>
      <c r="G33" s="5"/>
      <c r="H33" s="5"/>
      <c r="I33" s="5"/>
      <c r="J33" s="5"/>
      <c r="K33" s="5"/>
      <c r="L33" s="5"/>
      <c r="M33" s="5"/>
      <c r="N33" s="5"/>
      <c r="O33" s="5"/>
      <c r="P33" s="5"/>
      <c r="Q33" s="5"/>
      <c r="R33" s="5"/>
      <c r="S33" s="5"/>
      <c r="T33" s="5"/>
      <c r="U33" s="5"/>
    </row>
  </sheetData>
  <phoneticPr fontId="4" type="noConversion"/>
  <pageMargins left="0.7" right="0.7" top="0.75" bottom="0.75" header="0.3" footer="0.3"/>
  <pageSetup orientation="portrait" verticalDpi="0" r:id="rId1"/>
  <ignoredErrors>
    <ignoredError sqref="P22" formula="1"/>
  </ignoredErrors>
</worksheet>
</file>

<file path=docMetadata/LabelInfo.xml><?xml version="1.0" encoding="utf-8"?>
<clbl:labelList xmlns:clbl="http://schemas.microsoft.com/office/2020/mipLabelMetadata">
  <clbl:label id="{8e703bd7-bd28-40df-8081-878326cd2b5f}" enabled="0" method="" siteId="{8e703bd7-bd28-40df-8081-878326cd2b5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Detail Tax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Hannah (Planning)</dc:creator>
  <cp:lastModifiedBy>Miller, Travis (Planning)</cp:lastModifiedBy>
  <cp:lastPrinted>2023-03-15T18:58:38Z</cp:lastPrinted>
  <dcterms:created xsi:type="dcterms:W3CDTF">2022-08-25T17:41:24Z</dcterms:created>
  <dcterms:modified xsi:type="dcterms:W3CDTF">2024-11-25T15:25:33Z</dcterms:modified>
</cp:coreProperties>
</file>